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HFR_website\resrpts\"/>
    </mc:Choice>
  </mc:AlternateContent>
  <xr:revisionPtr revIDLastSave="0" documentId="8_{FA26D3B5-57E6-4053-9F1B-AA59B2B77B38}" xr6:coauthVersionLast="47" xr6:coauthVersionMax="47" xr10:uidLastSave="{00000000-0000-0000-0000-000000000000}"/>
  <bookViews>
    <workbookView xWindow="-110" yWindow="-110" windowWidth="25820" windowHeight="28300" xr2:uid="{B13549F9-6409-4F18-8C1B-E1F92FACE271}"/>
  </bookViews>
  <sheets>
    <sheet name="Rainbow" sheetId="1" r:id="rId1"/>
  </sheets>
  <externalReferences>
    <externalReference r:id="rId2"/>
  </externalReferences>
  <definedNames>
    <definedName name="BI">[1]ONCE!$D$17</definedName>
    <definedName name="FDI">[1]ONCE!$D$16</definedName>
    <definedName name="fmi">[1]ONCE!$D$15</definedName>
    <definedName name="in_DF">[1]ONCE!$D$7</definedName>
    <definedName name="in_FL">[1]ONCE!$D$9</definedName>
    <definedName name="in_RH">[1]ONCE!$D$6</definedName>
    <definedName name="In_t">[1]ONCE!$D$5</definedName>
    <definedName name="in_U">[1]ONCE!$D$8</definedName>
    <definedName name="mix_FDI">[1]ONCE!$N$6</definedName>
    <definedName name="mix_FMI">[1]ONCE!$N$5</definedName>
    <definedName name="mix_RH">[1]ONCE!$D$12</definedName>
    <definedName name="mix_T">[1]ONCE!$D$11</definedName>
    <definedName name="mix_U">[1]ONCE!$D$13</definedName>
    <definedName name="ROS">[1]ONCE!$D$18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" i="1" l="1"/>
  <c r="F3" i="1"/>
  <c r="K3" i="1"/>
  <c r="E4" i="1"/>
  <c r="J4" i="1"/>
  <c r="J19" i="1" s="1"/>
  <c r="E5" i="1"/>
  <c r="E6" i="1"/>
  <c r="J6" i="1"/>
  <c r="K6" i="1"/>
  <c r="J8" i="1"/>
  <c r="C9" i="1"/>
  <c r="K10" i="1" s="1"/>
  <c r="J9" i="1"/>
  <c r="K9" i="1"/>
  <c r="C10" i="1"/>
  <c r="C26" i="1" s="1"/>
  <c r="J10" i="1"/>
  <c r="K11" i="1"/>
  <c r="K12" i="1"/>
  <c r="C16" i="1"/>
  <c r="K16" i="1"/>
  <c r="C17" i="1"/>
  <c r="J17" i="1"/>
  <c r="K17" i="1"/>
  <c r="C18" i="1"/>
  <c r="K19" i="1"/>
  <c r="C20" i="1"/>
  <c r="J20" i="1"/>
  <c r="K20" i="1"/>
  <c r="C22" i="1"/>
  <c r="J23" i="1"/>
  <c r="K23" i="1"/>
  <c r="J25" i="1"/>
  <c r="J26" i="1"/>
  <c r="C28" i="1"/>
  <c r="J29" i="1"/>
  <c r="J31" i="1"/>
  <c r="K31" i="1"/>
  <c r="C32" i="1"/>
  <c r="J32" i="1"/>
  <c r="K32" i="1"/>
  <c r="K35" i="1"/>
  <c r="O35" i="1"/>
  <c r="O34" i="1" s="1"/>
  <c r="K37" i="1"/>
  <c r="K38" i="1"/>
  <c r="C15" i="1" l="1"/>
  <c r="C14" i="1"/>
  <c r="N35" i="1"/>
  <c r="J12" i="1"/>
  <c r="K28" i="1"/>
  <c r="J38" i="1"/>
  <c r="K22" i="1"/>
  <c r="C21" i="1"/>
  <c r="K34" i="1"/>
  <c r="K26" i="1"/>
  <c r="F11" i="1"/>
  <c r="F12" i="1" s="1"/>
  <c r="C31" i="1" s="1"/>
  <c r="K29" i="1"/>
  <c r="C29" i="1"/>
  <c r="J35" i="1"/>
  <c r="N34" i="1"/>
  <c r="J34" i="1"/>
  <c r="C19" i="1"/>
  <c r="C11" i="1"/>
  <c r="C12" i="1" s="1"/>
  <c r="C25" i="1" s="1"/>
  <c r="C23" i="1"/>
  <c r="K7" i="1"/>
  <c r="J13" i="1"/>
  <c r="C30" i="1" l="1"/>
  <c r="C33" i="1" s="1"/>
  <c r="C24" i="1"/>
  <c r="C27" i="1" s="1"/>
</calcChain>
</file>

<file path=xl/sharedStrings.xml><?xml version="1.0" encoding="utf-8"?>
<sst xmlns="http://schemas.openxmlformats.org/spreadsheetml/2006/main" count="87" uniqueCount="56">
  <si>
    <t>FL</t>
  </si>
  <si>
    <t>ROS</t>
  </si>
  <si>
    <t>FDI'</t>
  </si>
  <si>
    <t>Zone of normal fire control</t>
  </si>
  <si>
    <t>Arrow</t>
  </si>
  <si>
    <t>Fuel load insensitivity</t>
  </si>
  <si>
    <t>Brown</t>
  </si>
  <si>
    <t>FDI</t>
  </si>
  <si>
    <t>BI too high for direct attack</t>
  </si>
  <si>
    <t>ADJUST.</t>
  </si>
  <si>
    <t>Possible dynamic fire behaviour</t>
  </si>
  <si>
    <t>SLOPE</t>
  </si>
  <si>
    <t>Highly likely dynamic fire behaviour</t>
  </si>
  <si>
    <t>Block 3</t>
  </si>
  <si>
    <t>FMI'</t>
  </si>
  <si>
    <t>C-Haines valid for pyroCbs</t>
  </si>
  <si>
    <t>Other</t>
  </si>
  <si>
    <t>U</t>
  </si>
  <si>
    <t>dot</t>
  </si>
  <si>
    <t>Red</t>
  </si>
  <si>
    <t>FMI</t>
  </si>
  <si>
    <t>Strong wind</t>
  </si>
  <si>
    <t>VLS potential</t>
  </si>
  <si>
    <t>Backing fire</t>
  </si>
  <si>
    <t>Magenta</t>
  </si>
  <si>
    <t>T</t>
  </si>
  <si>
    <t>Dangerously dry fuel</t>
  </si>
  <si>
    <t>Block 2</t>
  </si>
  <si>
    <t>Dangerously low RH</t>
  </si>
  <si>
    <t>Too humid</t>
  </si>
  <si>
    <t>RH</t>
  </si>
  <si>
    <t>Too cool</t>
  </si>
  <si>
    <t>Dry fuel possible by mxing down</t>
  </si>
  <si>
    <t>Blue</t>
  </si>
  <si>
    <t>Low FMI</t>
  </si>
  <si>
    <t>Block 1</t>
  </si>
  <si>
    <t>CONDITION FLAGS</t>
  </si>
  <si>
    <t>BI</t>
  </si>
  <si>
    <t>kW/m</t>
  </si>
  <si>
    <t>BI f(Sl)</t>
  </si>
  <si>
    <t>km/hr</t>
  </si>
  <si>
    <t>ROS f(Sl)</t>
  </si>
  <si>
    <t>%</t>
  </si>
  <si>
    <t>DERIVED VALUES</t>
  </si>
  <si>
    <t>° (|Sl|&lt;=30)</t>
  </si>
  <si>
    <t>Sl</t>
  </si>
  <si>
    <t>t/ha</t>
  </si>
  <si>
    <t>Up to 10</t>
  </si>
  <si>
    <t>DF</t>
  </si>
  <si>
    <t>RH f(DF)</t>
  </si>
  <si>
    <t>Y</t>
  </si>
  <si>
    <t>X</t>
  </si>
  <si>
    <t>°C</t>
  </si>
  <si>
    <t>T f(RF)</t>
  </si>
  <si>
    <t>ADJUSTMENTS</t>
  </si>
  <si>
    <t>OBSERVATIONS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</si>
</sst>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5" tint="-0.249977111117893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theme="8" tint="0.39997558519241921"/>
      <name val="Aptos Narrow"/>
      <family val="2"/>
      <scheme val="minor"/>
    </font>
    <font>
      <b/>
      <sz val="14"/>
      <color theme="7" tint="-0.249977111117893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4" xfId="0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/>
    <xf numFmtId="0" fontId="3" fillId="2" borderId="5" xfId="0" applyFont="1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4" fillId="2" borderId="5" xfId="0" applyFont="1" applyFill="1" applyBorder="1"/>
    <xf numFmtId="0" fontId="5" fillId="2" borderId="8" xfId="0" applyFont="1" applyFill="1" applyBorder="1"/>
    <xf numFmtId="0" fontId="6" fillId="2" borderId="8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7" fillId="2" borderId="8" xfId="0" applyFont="1" applyFill="1" applyBorder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1" fontId="10" fillId="3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1" fontId="8" fillId="0" borderId="9" xfId="0" applyNumberFormat="1" applyFont="1" applyBorder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0" fontId="0" fillId="2" borderId="0" xfId="0" applyFill="1" applyAlignment="1">
      <alignment horizontal="right"/>
    </xf>
    <xf numFmtId="0" fontId="10" fillId="4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</cellXfs>
  <cellStyles count="1">
    <cellStyle name="Normal" xfId="0" builtinId="0"/>
  </cellStyles>
  <dxfs count="18">
    <dxf>
      <fill>
        <gradientFill type="path" left="0.5" right="0.5" top="0.5" bottom="0.5">
          <stop position="0">
            <color theme="0"/>
          </stop>
          <stop position="1">
            <color theme="9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49961851863155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065919125198355E-2"/>
          <c:y val="1.5463137193201144E-2"/>
          <c:w val="0.94647922994382838"/>
          <c:h val="0.96220122019439724"/>
        </c:manualLayout>
      </c:layout>
      <c:scatterChart>
        <c:scatterStyle val="lineMarker"/>
        <c:varyColors val="0"/>
        <c:ser>
          <c:idx val="9"/>
          <c:order val="0"/>
          <c:spPr>
            <a:ln w="63500" cap="rnd">
              <a:solidFill>
                <a:schemeClr val="accent2">
                  <a:lumMod val="75000"/>
                </a:schemeClr>
              </a:solidFill>
              <a:round/>
              <a:headEnd type="triangle"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Rainbow!$N$34:$N$35</c:f>
              <c:numCache>
                <c:formatCode>0.0</c:formatCode>
                <c:ptCount val="2"/>
                <c:pt idx="0">
                  <c:v>215.59633027522938</c:v>
                </c:pt>
                <c:pt idx="1">
                  <c:v>157.79816513761469</c:v>
                </c:pt>
              </c:numCache>
            </c:numRef>
          </c:xVal>
          <c:yVal>
            <c:numRef>
              <c:f>Rainbow!$O$34:$O$35</c:f>
              <c:numCache>
                <c:formatCode>0.0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DB-493A-89AF-E948CFB5DC80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circle"/>
              <c:size val="18"/>
              <c:spPr>
                <a:solidFill>
                  <a:schemeClr val="tx2">
                    <a:lumMod val="50000"/>
                    <a:lumOff val="5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8DB-493A-89AF-E948CFB5DC80}"/>
              </c:ext>
            </c:extLst>
          </c:dPt>
          <c:dPt>
            <c:idx val="6"/>
            <c:marker>
              <c:symbol val="circle"/>
              <c:size val="18"/>
              <c:spPr>
                <a:solidFill>
                  <a:schemeClr val="accent5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8DB-493A-89AF-E948CFB5DC80}"/>
              </c:ext>
            </c:extLst>
          </c:dPt>
          <c:dPt>
            <c:idx val="9"/>
            <c:marker>
              <c:symbol val="circle"/>
              <c:size val="18"/>
              <c:spPr>
                <a:solidFill>
                  <a:srgbClr val="FF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8DB-493A-89AF-E948CFB5DC80}"/>
              </c:ext>
            </c:extLst>
          </c:dPt>
          <c:xVal>
            <c:numRef>
              <c:f>Rainbow!$J$3:$J$14</c:f>
              <c:numCache>
                <c:formatCode>0.0</c:formatCode>
                <c:ptCount val="12"/>
                <c:pt idx="0">
                  <c:v>0</c:v>
                </c:pt>
                <c:pt idx="1">
                  <c:v>68</c:v>
                </c:pt>
                <c:pt idx="3">
                  <c:v>68</c:v>
                </c:pt>
                <c:pt idx="4">
                  <c:v>100</c:v>
                </c:pt>
                <c:pt idx="5">
                  <c:v>170</c:v>
                </c:pt>
                <c:pt idx="6">
                  <c:v>170</c:v>
                </c:pt>
                <c:pt idx="7">
                  <c:v>157.79816513761469</c:v>
                </c:pt>
                <c:pt idx="8">
                  <c:v>100</c:v>
                </c:pt>
                <c:pt idx="9">
                  <c:v>157.79816513761469</c:v>
                </c:pt>
                <c:pt idx="10">
                  <c:v>157.79816513761469</c:v>
                </c:pt>
              </c:numCache>
            </c:numRef>
          </c:xVal>
          <c:yVal>
            <c:numRef>
              <c:f>Rainbow!$K$3:$K$14</c:f>
              <c:numCache>
                <c:formatCode>0.0</c:formatCode>
                <c:ptCount val="12"/>
                <c:pt idx="0">
                  <c:v>175</c:v>
                </c:pt>
                <c:pt idx="1">
                  <c:v>100</c:v>
                </c:pt>
                <c:pt idx="3">
                  <c:v>175</c:v>
                </c:pt>
                <c:pt idx="4">
                  <c:v>151</c:v>
                </c:pt>
                <c:pt idx="5">
                  <c:v>190</c:v>
                </c:pt>
                <c:pt idx="6">
                  <c:v>151</c:v>
                </c:pt>
                <c:pt idx="7">
                  <c:v>157.79816513761466</c:v>
                </c:pt>
                <c:pt idx="8">
                  <c:v>55</c:v>
                </c:pt>
                <c:pt idx="9">
                  <c:v>55</c:v>
                </c:pt>
                <c:pt idx="1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8DB-493A-89AF-E948CFB5DC80}"/>
            </c:ext>
          </c:extLst>
        </c:ser>
        <c:ser>
          <c:idx val="1"/>
          <c:order val="2"/>
          <c:spPr>
            <a:ln w="6350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Rainbow!$J$16:$J$17</c:f>
              <c:numCache>
                <c:formatCode>0.0</c:formatCode>
                <c:ptCount val="2"/>
                <c:pt idx="0">
                  <c:v>0</c:v>
                </c:pt>
                <c:pt idx="1">
                  <c:v>68</c:v>
                </c:pt>
              </c:numCache>
            </c:numRef>
          </c:xVal>
          <c:yVal>
            <c:numRef>
              <c:f>Rainbow!$K$16:$K$17</c:f>
              <c:numCache>
                <c:formatCode>0.0</c:formatCode>
                <c:ptCount val="2"/>
                <c:pt idx="0">
                  <c:v>175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8DB-493A-89AF-E948CFB5DC80}"/>
            </c:ext>
          </c:extLst>
        </c:ser>
        <c:ser>
          <c:idx val="10"/>
          <c:order val="3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Rainbow!$J$22:$J$23</c:f>
              <c:numCache>
                <c:formatCode>0.0</c:formatCode>
                <c:ptCount val="2"/>
                <c:pt idx="0">
                  <c:v>100</c:v>
                </c:pt>
                <c:pt idx="1">
                  <c:v>68</c:v>
                </c:pt>
              </c:numCache>
            </c:numRef>
          </c:xVal>
          <c:yVal>
            <c:numRef>
              <c:f>Rainbow!$K$22:$K$23</c:f>
              <c:numCache>
                <c:formatCode>0.0</c:formatCode>
                <c:ptCount val="2"/>
                <c:pt idx="0">
                  <c:v>151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8DB-493A-89AF-E948CFB5DC80}"/>
            </c:ext>
          </c:extLst>
        </c:ser>
        <c:ser>
          <c:idx val="2"/>
          <c:order val="4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Rainbow!$J$19:$J$20</c:f>
              <c:numCache>
                <c:formatCode>0.0</c:formatCode>
                <c:ptCount val="2"/>
                <c:pt idx="0">
                  <c:v>68</c:v>
                </c:pt>
                <c:pt idx="1">
                  <c:v>68</c:v>
                </c:pt>
              </c:numCache>
            </c:numRef>
          </c:xVal>
          <c:yVal>
            <c:numRef>
              <c:f>Rainbow!$K$19:$K$20</c:f>
              <c:numCache>
                <c:formatCode>0.0</c:formatCode>
                <c:ptCount val="2"/>
                <c:pt idx="0">
                  <c:v>100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8DB-493A-89AF-E948CFB5DC80}"/>
            </c:ext>
          </c:extLst>
        </c:ser>
        <c:ser>
          <c:idx val="3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Rainbow!$J$22:$J$23</c:f>
              <c:numCache>
                <c:formatCode>0.0</c:formatCode>
                <c:ptCount val="2"/>
                <c:pt idx="0">
                  <c:v>100</c:v>
                </c:pt>
                <c:pt idx="1">
                  <c:v>68</c:v>
                </c:pt>
              </c:numCache>
            </c:numRef>
          </c:xVal>
          <c:yVal>
            <c:numRef>
              <c:f>Rainbow!$K$22:$K$23</c:f>
              <c:numCache>
                <c:formatCode>0.0</c:formatCode>
                <c:ptCount val="2"/>
                <c:pt idx="0">
                  <c:v>151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8DB-493A-89AF-E948CFB5DC80}"/>
            </c:ext>
          </c:extLst>
        </c:ser>
        <c:ser>
          <c:idx val="4"/>
          <c:order val="6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Rainbow!$J$25:$J$26</c:f>
              <c:numCache>
                <c:formatCode>0.0</c:formatCode>
                <c:ptCount val="2"/>
                <c:pt idx="0">
                  <c:v>170</c:v>
                </c:pt>
                <c:pt idx="1">
                  <c:v>170</c:v>
                </c:pt>
              </c:numCache>
            </c:numRef>
          </c:xVal>
          <c:yVal>
            <c:numRef>
              <c:f>Rainbow!$K$25:$K$26</c:f>
              <c:numCache>
                <c:formatCode>0.0</c:formatCode>
                <c:ptCount val="2"/>
                <c:pt idx="0">
                  <c:v>190</c:v>
                </c:pt>
                <c:pt idx="1">
                  <c:v>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8DB-493A-89AF-E948CFB5DC80}"/>
            </c:ext>
          </c:extLst>
        </c:ser>
        <c:ser>
          <c:idx val="5"/>
          <c:order val="7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Rainbow!$J$28:$J$29</c:f>
              <c:numCache>
                <c:formatCode>0.0</c:formatCode>
                <c:ptCount val="2"/>
                <c:pt idx="0">
                  <c:v>100</c:v>
                </c:pt>
                <c:pt idx="1">
                  <c:v>170</c:v>
                </c:pt>
              </c:numCache>
            </c:numRef>
          </c:xVal>
          <c:yVal>
            <c:numRef>
              <c:f>Rainbow!$K$28:$K$29</c:f>
              <c:numCache>
                <c:formatCode>0.0</c:formatCode>
                <c:ptCount val="2"/>
                <c:pt idx="0">
                  <c:v>151</c:v>
                </c:pt>
                <c:pt idx="1">
                  <c:v>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8DB-493A-89AF-E948CFB5DC80}"/>
            </c:ext>
          </c:extLst>
        </c:ser>
        <c:ser>
          <c:idx val="6"/>
          <c:order val="8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Rainbow!$J$31:$J$32</c:f>
              <c:numCache>
                <c:formatCode>0.0</c:formatCode>
                <c:ptCount val="2"/>
                <c:pt idx="0">
                  <c:v>170</c:v>
                </c:pt>
                <c:pt idx="1">
                  <c:v>157.79816513761469</c:v>
                </c:pt>
              </c:numCache>
            </c:numRef>
          </c:xVal>
          <c:yVal>
            <c:numRef>
              <c:f>Rainbow!$K$31:$K$32</c:f>
              <c:numCache>
                <c:formatCode>0.0</c:formatCode>
                <c:ptCount val="2"/>
                <c:pt idx="0">
                  <c:v>151</c:v>
                </c:pt>
                <c:pt idx="1">
                  <c:v>157.79816513761466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8DB-493A-89AF-E948CFB5DC80}"/>
            </c:ext>
          </c:extLst>
        </c:ser>
        <c:ser>
          <c:idx val="7"/>
          <c:order val="9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Rainbow!$J$34:$J$35</c:f>
              <c:numCache>
                <c:formatCode>0.0</c:formatCode>
                <c:ptCount val="2"/>
                <c:pt idx="0">
                  <c:v>157.79816513761469</c:v>
                </c:pt>
                <c:pt idx="1">
                  <c:v>157.79816513761469</c:v>
                </c:pt>
              </c:numCache>
            </c:numRef>
          </c:xVal>
          <c:yVal>
            <c:numRef>
              <c:f>Rainbow!$K$34:$K$35</c:f>
              <c:numCache>
                <c:formatCode>0.0</c:formatCode>
                <c:ptCount val="2"/>
                <c:pt idx="0">
                  <c:v>157.79816513761466</c:v>
                </c:pt>
                <c:pt idx="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8DB-493A-89AF-E948CFB5DC80}"/>
            </c:ext>
          </c:extLst>
        </c:ser>
        <c:ser>
          <c:idx val="8"/>
          <c:order val="10"/>
          <c:spPr>
            <a:ln w="635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Rainbow!$J$37:$J$38</c:f>
              <c:numCache>
                <c:formatCode>0.0</c:formatCode>
                <c:ptCount val="2"/>
                <c:pt idx="0">
                  <c:v>100</c:v>
                </c:pt>
                <c:pt idx="1">
                  <c:v>157.79816513761469</c:v>
                </c:pt>
              </c:numCache>
            </c:numRef>
          </c:xVal>
          <c:yVal>
            <c:numRef>
              <c:f>Rainbow!$K$37:$K$38</c:f>
              <c:numCache>
                <c:formatCode>0.0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8DB-493A-89AF-E948CFB5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440928"/>
        <c:axId val="408441408"/>
      </c:scatterChart>
      <c:valAx>
        <c:axId val="408440928"/>
        <c:scaling>
          <c:orientation val="minMax"/>
          <c:max val="270"/>
          <c:min val="-5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41408"/>
        <c:crosses val="autoZero"/>
        <c:crossBetween val="midCat"/>
      </c:valAx>
      <c:valAx>
        <c:axId val="408441408"/>
        <c:scaling>
          <c:orientation val="minMax"/>
          <c:max val="220"/>
          <c:min val="-5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40928"/>
        <c:crosses val="autoZero"/>
        <c:crossBetween val="midCat"/>
      </c:valAx>
      <c:spPr>
        <a:blipFill dpi="0" rotWithShape="1">
          <a:blip xmlns:r="http://schemas.openxmlformats.org/officeDocument/2006/relationships" r:embed="rId3">
            <a:alphaModFix amt="58000"/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239055</xdr:colOff>
      <xdr:row>1</xdr:row>
      <xdr:rowOff>2991</xdr:rowOff>
    </xdr:from>
    <xdr:to>
      <xdr:col>24</xdr:col>
      <xdr:colOff>231587</xdr:colOff>
      <xdr:row>38</xdr:row>
      <xdr:rowOff>97118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71C747-5F83-4BF8-8533-CF9908186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44825</xdr:colOff>
      <xdr:row>38</xdr:row>
      <xdr:rowOff>74706</xdr:rowOff>
    </xdr:from>
    <xdr:to>
      <xdr:col>24</xdr:col>
      <xdr:colOff>209176</xdr:colOff>
      <xdr:row>41</xdr:row>
      <xdr:rowOff>59765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D3A2A0-CFE8-4834-BEB2-CC47E0F5A904}"/>
            </a:ext>
          </a:extLst>
        </xdr:cNvPr>
        <xdr:cNvSpPr txBox="1"/>
      </xdr:nvSpPr>
      <xdr:spPr>
        <a:xfrm>
          <a:off x="654425" y="7072406"/>
          <a:ext cx="14185151" cy="537509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400" b="1"/>
            <a:t>This</a:t>
          </a:r>
          <a:r>
            <a:rPr lang="en-AU" sz="1400" b="1" baseline="0"/>
            <a:t> material is from a talk given at the 8th IFBFC in Hobart in April 2026. It has been developed by Rick McRae, UNSW Canberra, Bushfire Research Group.</a:t>
          </a:r>
        </a:p>
        <a:p>
          <a:pPr algn="ctr"/>
          <a:r>
            <a:rPr lang="en-AU" sz="1400" b="1" baseline="0"/>
            <a:t>V2 of 6 June 2026 - handles DF &amp; Slope. Any feedback or comments can be sent to: r.mcrae@unsw.edu.au</a:t>
          </a:r>
          <a:endParaRPr lang="en-AU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HFR_website\resrpts\rainbows_end.xlsx" TargetMode="External"/><Relationship Id="rId1" Type="http://schemas.openxmlformats.org/officeDocument/2006/relationships/externalLinkPath" Target="rainbows_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F"/>
      <sheetName val="SEQUENCE"/>
      <sheetName val="ONCE"/>
      <sheetName val="CALCS"/>
    </sheetNames>
    <sheetDataSet>
      <sheetData sheetId="0" refreshError="1"/>
      <sheetData sheetId="1" refreshError="1"/>
      <sheetData sheetId="2">
        <row r="5">
          <cell r="D5">
            <v>25</v>
          </cell>
          <cell r="N5">
            <v>5.75</v>
          </cell>
        </row>
        <row r="6">
          <cell r="D6">
            <v>12</v>
          </cell>
          <cell r="N6">
            <v>42.608695652173914</v>
          </cell>
        </row>
        <row r="7">
          <cell r="D7">
            <v>7</v>
          </cell>
        </row>
        <row r="8">
          <cell r="D8">
            <v>20</v>
          </cell>
        </row>
        <row r="9">
          <cell r="D9">
            <v>25</v>
          </cell>
        </row>
        <row r="11">
          <cell r="D11">
            <v>32</v>
          </cell>
        </row>
        <row r="12">
          <cell r="D12">
            <v>15</v>
          </cell>
        </row>
        <row r="13">
          <cell r="D13">
            <v>35</v>
          </cell>
        </row>
        <row r="15">
          <cell r="D15">
            <v>6.75</v>
          </cell>
        </row>
        <row r="16">
          <cell r="D16">
            <v>20.74074074074074</v>
          </cell>
        </row>
        <row r="17">
          <cell r="D17">
            <v>432.09876543209873</v>
          </cell>
        </row>
        <row r="18">
          <cell r="D18">
            <v>0.57613168724279828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7366-20C1-48B3-AACC-175A88F495FE}">
  <dimension ref="A1:Y42"/>
  <sheetViews>
    <sheetView tabSelected="1" zoomScale="85" zoomScaleNormal="85" workbookViewId="0">
      <selection activeCell="C56" sqref="C56"/>
    </sheetView>
  </sheetViews>
  <sheetFormatPr defaultRowHeight="14.5" x14ac:dyDescent="0.35"/>
  <cols>
    <col min="1" max="1" width="4.90625" customWidth="1"/>
    <col min="2" max="2" width="9.453125" customWidth="1"/>
    <col min="3" max="3" width="9.6328125" customWidth="1"/>
    <col min="4" max="4" width="12" customWidth="1"/>
    <col min="5" max="6" width="11.81640625" customWidth="1"/>
    <col min="7" max="7" width="11.81640625" style="1" customWidth="1"/>
  </cols>
  <sheetData>
    <row r="1" spans="1:25" ht="21" x14ac:dyDescent="0.5">
      <c r="A1" s="28" t="s">
        <v>55</v>
      </c>
      <c r="B1" s="2"/>
      <c r="D1" s="29"/>
      <c r="E1" s="28" t="s">
        <v>54</v>
      </c>
      <c r="F1" s="1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x14ac:dyDescent="0.5">
      <c r="A2" s="2"/>
      <c r="B2" s="31" t="s">
        <v>25</v>
      </c>
      <c r="C2" s="36">
        <v>32</v>
      </c>
      <c r="D2" s="28" t="s">
        <v>52</v>
      </c>
      <c r="E2" s="38" t="s">
        <v>53</v>
      </c>
      <c r="F2" s="37">
        <f>40-((40-C2)/C5*10)</f>
        <v>32</v>
      </c>
      <c r="G2" s="28" t="s">
        <v>52</v>
      </c>
      <c r="H2" s="2"/>
      <c r="I2" s="2"/>
      <c r="J2" s="2" t="s">
        <v>51</v>
      </c>
      <c r="K2" s="2" t="s">
        <v>50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x14ac:dyDescent="0.5">
      <c r="A3" s="2"/>
      <c r="B3" s="31" t="s">
        <v>30</v>
      </c>
      <c r="C3" s="36">
        <v>5</v>
      </c>
      <c r="D3" s="28" t="s">
        <v>42</v>
      </c>
      <c r="E3" s="38" t="s">
        <v>49</v>
      </c>
      <c r="F3" s="37">
        <f>C3/C5*10</f>
        <v>5</v>
      </c>
      <c r="G3" s="28" t="s">
        <v>42</v>
      </c>
      <c r="H3" s="2"/>
      <c r="I3" s="2" t="s">
        <v>30</v>
      </c>
      <c r="J3" s="4">
        <v>0</v>
      </c>
      <c r="K3" s="4">
        <f>(190-3*$F$3)</f>
        <v>175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x14ac:dyDescent="0.5">
      <c r="A4" s="2"/>
      <c r="B4" s="31" t="s">
        <v>17</v>
      </c>
      <c r="C4" s="36">
        <v>35</v>
      </c>
      <c r="D4" s="28" t="s">
        <v>40</v>
      </c>
      <c r="E4" s="11" t="str">
        <f>IF($C$4&lt;0,"&lt;&lt;&lt;Value error","")</f>
        <v/>
      </c>
      <c r="F4" s="11"/>
      <c r="G4" s="12"/>
      <c r="H4" s="2"/>
      <c r="I4" s="2" t="s">
        <v>25</v>
      </c>
      <c r="J4" s="4">
        <f>($F$2-15)*4</f>
        <v>68</v>
      </c>
      <c r="K4" s="4">
        <v>100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x14ac:dyDescent="0.5">
      <c r="A5" s="2"/>
      <c r="B5" s="31" t="s">
        <v>48</v>
      </c>
      <c r="C5" s="36">
        <v>10</v>
      </c>
      <c r="D5" s="28" t="s">
        <v>47</v>
      </c>
      <c r="E5" s="11" t="str">
        <f>IF(OR($C$5&gt;10,$C$5&lt;0),"&lt;&lt;&lt;Value error","")</f>
        <v/>
      </c>
      <c r="F5" s="11"/>
      <c r="G5" s="12"/>
      <c r="H5" s="2"/>
      <c r="I5" s="2"/>
      <c r="J5" s="4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1" x14ac:dyDescent="0.5">
      <c r="A6" s="2"/>
      <c r="B6" s="31" t="s">
        <v>0</v>
      </c>
      <c r="C6" s="36">
        <v>15</v>
      </c>
      <c r="D6" s="28" t="s">
        <v>46</v>
      </c>
      <c r="E6" s="11" t="str">
        <f>IF($C$6&gt;30,"&lt;&lt;&lt;Possible value error","")</f>
        <v/>
      </c>
      <c r="F6" s="11"/>
      <c r="G6" s="12"/>
      <c r="H6" s="2"/>
      <c r="I6" s="2" t="s">
        <v>20</v>
      </c>
      <c r="J6" s="4">
        <f>($F$2-15)*4</f>
        <v>68</v>
      </c>
      <c r="K6" s="4">
        <f>(190-3*$F$3)</f>
        <v>175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1" x14ac:dyDescent="0.5">
      <c r="A7" s="2"/>
      <c r="B7" s="31" t="s">
        <v>45</v>
      </c>
      <c r="C7" s="36">
        <v>10</v>
      </c>
      <c r="D7" s="28" t="s">
        <v>44</v>
      </c>
      <c r="E7" s="11"/>
      <c r="F7" s="11"/>
      <c r="G7" s="12"/>
      <c r="H7" s="2"/>
      <c r="I7" s="2" t="s">
        <v>14</v>
      </c>
      <c r="J7" s="4">
        <v>100</v>
      </c>
      <c r="K7" s="4">
        <f>(190-12*$C$9)</f>
        <v>151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1.5" thickBot="1" x14ac:dyDescent="0.55000000000000004">
      <c r="A8" s="28" t="s">
        <v>43</v>
      </c>
      <c r="B8" s="35"/>
      <c r="C8" s="2"/>
      <c r="D8" s="28"/>
      <c r="E8" s="24"/>
      <c r="F8" s="24"/>
      <c r="G8" s="27"/>
      <c r="H8" s="2"/>
      <c r="I8" s="2" t="s">
        <v>17</v>
      </c>
      <c r="J8" s="4">
        <f>(100+2*$C$4)</f>
        <v>170</v>
      </c>
      <c r="K8" s="4">
        <v>190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1.5" thickBot="1" x14ac:dyDescent="0.55000000000000004">
      <c r="A9" s="2"/>
      <c r="B9" s="31" t="s">
        <v>20</v>
      </c>
      <c r="C9" s="34">
        <f>10-0.25*(($F$2)-($F$3))</f>
        <v>3.25</v>
      </c>
      <c r="D9" s="29" t="s">
        <v>42</v>
      </c>
      <c r="E9" s="24"/>
      <c r="F9" s="24"/>
      <c r="G9" s="27"/>
      <c r="H9" s="2"/>
      <c r="I9" s="2" t="s">
        <v>7</v>
      </c>
      <c r="J9" s="4">
        <f>(100+2*$C$4)</f>
        <v>170</v>
      </c>
      <c r="K9" s="4">
        <f>(190-12*$C$9)</f>
        <v>151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1.5" thickBot="1" x14ac:dyDescent="0.55000000000000004">
      <c r="A10" s="2"/>
      <c r="B10" s="31" t="s">
        <v>7</v>
      </c>
      <c r="C10" s="32">
        <f>7*$C$4/$C$9</f>
        <v>75.384615384615387</v>
      </c>
      <c r="D10" s="29"/>
      <c r="E10" s="2"/>
      <c r="F10" s="2"/>
      <c r="G10" s="3"/>
      <c r="H10" s="2"/>
      <c r="I10" s="2" t="s">
        <v>2</v>
      </c>
      <c r="J10" s="4">
        <f>100+2*$C$4/($C$4*2+12*$C$9)*90</f>
        <v>157.79816513761469</v>
      </c>
      <c r="K10" s="4">
        <f>190-12*$C$9/($C$4*2+12*$C$9)*90</f>
        <v>157.79816513761466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1.5" thickBot="1" x14ac:dyDescent="0.55000000000000004">
      <c r="A11" s="2"/>
      <c r="B11" s="31" t="s">
        <v>1</v>
      </c>
      <c r="C11" s="34">
        <f>$C$6*$C$10/800</f>
        <v>1.4134615384615383</v>
      </c>
      <c r="D11" s="29" t="s">
        <v>40</v>
      </c>
      <c r="E11" s="31" t="s">
        <v>41</v>
      </c>
      <c r="F11" s="33">
        <f>$C$6*$C$10/800*2^($C$7/10)</f>
        <v>2.8269230769230766</v>
      </c>
      <c r="G11" s="29" t="s">
        <v>40</v>
      </c>
      <c r="H11" s="2"/>
      <c r="I11" s="2" t="s">
        <v>0</v>
      </c>
      <c r="J11" s="4">
        <v>100</v>
      </c>
      <c r="K11" s="4">
        <f>10+3*$C$6</f>
        <v>55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1.5" thickBot="1" x14ac:dyDescent="0.55000000000000004">
      <c r="A12" s="2"/>
      <c r="B12" s="31" t="s">
        <v>37</v>
      </c>
      <c r="C12" s="32">
        <f>496*$C$6*$C$11</f>
        <v>10516.153846153846</v>
      </c>
      <c r="D12" s="29" t="s">
        <v>38</v>
      </c>
      <c r="E12" s="31" t="s">
        <v>39</v>
      </c>
      <c r="F12" s="30">
        <f>496*$C$6*$F$11</f>
        <v>21032.307692307691</v>
      </c>
      <c r="G12" s="29" t="s">
        <v>38</v>
      </c>
      <c r="H12" s="2"/>
      <c r="I12" s="2" t="s">
        <v>37</v>
      </c>
      <c r="J12" s="4">
        <f>100+2*$C$4/($C$4*2+12*$C$9)*90</f>
        <v>157.79816513761469</v>
      </c>
      <c r="K12" s="4">
        <f>K11</f>
        <v>55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1.5" thickBot="1" x14ac:dyDescent="0.55000000000000004">
      <c r="A13" s="28" t="s">
        <v>36</v>
      </c>
      <c r="B13" s="2"/>
      <c r="C13" s="2"/>
      <c r="D13" s="2"/>
      <c r="E13" s="24"/>
      <c r="F13" s="24"/>
      <c r="G13" s="27"/>
      <c r="H13" s="2"/>
      <c r="I13" s="2" t="s">
        <v>7</v>
      </c>
      <c r="J13" s="4">
        <f>100+2*$C$4/($C$4*2+12*$C$9)*90</f>
        <v>157.79816513761469</v>
      </c>
      <c r="K13" s="4">
        <v>10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8.5" x14ac:dyDescent="0.45">
      <c r="A14" s="2"/>
      <c r="B14" s="26" t="s">
        <v>35</v>
      </c>
      <c r="C14" s="18">
        <f>IF($C$9&gt;5,0,1)</f>
        <v>1</v>
      </c>
      <c r="D14" s="17" t="s">
        <v>34</v>
      </c>
      <c r="E14" s="16"/>
      <c r="F14" s="16"/>
      <c r="G14" s="1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.5" x14ac:dyDescent="0.45">
      <c r="A15" s="2"/>
      <c r="B15" s="13" t="s">
        <v>33</v>
      </c>
      <c r="C15" s="12">
        <f>IF(AND($C$9&lt;=7.5,$C$9&gt;5),1,0)</f>
        <v>0</v>
      </c>
      <c r="D15" s="11" t="s">
        <v>32</v>
      </c>
      <c r="E15" s="2"/>
      <c r="F15" s="2"/>
      <c r="G15" s="1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8.5" x14ac:dyDescent="0.45">
      <c r="A16" s="2"/>
      <c r="B16" s="13" t="s">
        <v>18</v>
      </c>
      <c r="C16" s="12">
        <f>IF($C$2&lt;20,1,)</f>
        <v>0</v>
      </c>
      <c r="D16" s="11" t="s">
        <v>31</v>
      </c>
      <c r="E16" s="2"/>
      <c r="F16" s="2"/>
      <c r="G16" s="10"/>
      <c r="H16" s="2"/>
      <c r="I16" s="2" t="s">
        <v>30</v>
      </c>
      <c r="J16" s="4">
        <v>0</v>
      </c>
      <c r="K16" s="4">
        <f>(190-3*$F$3)</f>
        <v>175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5" x14ac:dyDescent="0.45">
      <c r="A17" s="2"/>
      <c r="B17" s="25"/>
      <c r="C17" s="12">
        <f>IF($C$3&gt;20,1,0)</f>
        <v>0</v>
      </c>
      <c r="D17" s="11" t="s">
        <v>29</v>
      </c>
      <c r="E17" s="24"/>
      <c r="F17" s="24"/>
      <c r="G17" s="23"/>
      <c r="H17" s="2"/>
      <c r="I17" s="2"/>
      <c r="J17" s="4">
        <f>($F$2-15)*4</f>
        <v>68</v>
      </c>
      <c r="K17" s="4">
        <f>(190-3*$F$3)</f>
        <v>175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9" thickBot="1" x14ac:dyDescent="0.5">
      <c r="A18" s="2"/>
      <c r="B18" s="9"/>
      <c r="C18" s="8">
        <f>IF($C$3&lt;2,1,0)</f>
        <v>0</v>
      </c>
      <c r="D18" s="7" t="s">
        <v>28</v>
      </c>
      <c r="E18" s="6"/>
      <c r="F18" s="6"/>
      <c r="G18" s="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8.5" x14ac:dyDescent="0.45">
      <c r="A19" s="2"/>
      <c r="B19" s="22" t="s">
        <v>27</v>
      </c>
      <c r="C19" s="18">
        <f>IF($C$9&lt;1,1,0)</f>
        <v>0</v>
      </c>
      <c r="D19" s="17" t="s">
        <v>26</v>
      </c>
      <c r="E19" s="16"/>
      <c r="F19" s="16"/>
      <c r="G19" s="15"/>
      <c r="H19" s="2"/>
      <c r="I19" s="2" t="s">
        <v>25</v>
      </c>
      <c r="J19" s="4">
        <f>J4</f>
        <v>68</v>
      </c>
      <c r="K19" s="4">
        <f>K4</f>
        <v>100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.5" x14ac:dyDescent="0.45">
      <c r="A20" s="2"/>
      <c r="B20" s="13" t="s">
        <v>24</v>
      </c>
      <c r="C20" s="12">
        <f>IF($C$4&lt;5,1,0)</f>
        <v>0</v>
      </c>
      <c r="D20" s="11" t="s">
        <v>23</v>
      </c>
      <c r="E20" s="2"/>
      <c r="F20" s="2"/>
      <c r="G20" s="10"/>
      <c r="H20" s="2"/>
      <c r="I20" s="2"/>
      <c r="J20" s="4">
        <f>($F$2-15)*4</f>
        <v>68</v>
      </c>
      <c r="K20" s="4">
        <f>(190-3*$F$3)</f>
        <v>175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8.5" x14ac:dyDescent="0.45">
      <c r="A21" s="2"/>
      <c r="B21" s="13" t="s">
        <v>18</v>
      </c>
      <c r="C21" s="12">
        <f>IF(AND($C$4&gt;20,$C$9&lt;5),1,0)</f>
        <v>1</v>
      </c>
      <c r="D21" s="11" t="s">
        <v>22</v>
      </c>
      <c r="E21" s="2"/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" thickBot="1" x14ac:dyDescent="0.5">
      <c r="A22" s="2"/>
      <c r="B22" s="13"/>
      <c r="C22" s="12">
        <f>IF($C$4&gt;35,1,0)</f>
        <v>0</v>
      </c>
      <c r="D22" s="11" t="s">
        <v>21</v>
      </c>
      <c r="E22" s="2"/>
      <c r="F22" s="2"/>
      <c r="G22" s="10"/>
      <c r="H22" s="2"/>
      <c r="I22" s="2" t="s">
        <v>20</v>
      </c>
      <c r="J22" s="4">
        <v>100</v>
      </c>
      <c r="K22" s="4">
        <f>(190-12*$C$9)</f>
        <v>151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8.5" x14ac:dyDescent="0.45">
      <c r="A23" s="2"/>
      <c r="B23" s="21" t="s">
        <v>13</v>
      </c>
      <c r="C23" s="18">
        <f>IF($C$10&gt;75,1,0)</f>
        <v>1</v>
      </c>
      <c r="D23" s="17" t="s">
        <v>12</v>
      </c>
      <c r="E23" s="16"/>
      <c r="F23" s="16"/>
      <c r="G23" s="15"/>
      <c r="H23" s="2"/>
      <c r="I23" s="2"/>
      <c r="J23" s="4">
        <f>($F$2-15)*4</f>
        <v>68</v>
      </c>
      <c r="K23" s="4">
        <f>(190-3*$F$3)</f>
        <v>175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8.5" x14ac:dyDescent="0.45">
      <c r="A24" s="2"/>
      <c r="B24" s="13" t="s">
        <v>19</v>
      </c>
      <c r="C24" s="12">
        <f>IF(AND($C$23=0,$C$10&gt;45),1,0)</f>
        <v>0</v>
      </c>
      <c r="D24" s="11" t="s">
        <v>10</v>
      </c>
      <c r="E24" s="2"/>
      <c r="F24" s="2"/>
      <c r="G24" s="1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8.5" x14ac:dyDescent="0.45">
      <c r="A25" s="2"/>
      <c r="B25" s="13" t="s">
        <v>18</v>
      </c>
      <c r="C25" s="12">
        <f>IF($C$12&gt;4000,1,0)</f>
        <v>1</v>
      </c>
      <c r="D25" s="11" t="s">
        <v>8</v>
      </c>
      <c r="E25" s="2"/>
      <c r="F25" s="2"/>
      <c r="G25" s="10"/>
      <c r="H25" s="2"/>
      <c r="I25" s="2" t="s">
        <v>17</v>
      </c>
      <c r="J25" s="4">
        <f>(100+2*$C$4)</f>
        <v>170</v>
      </c>
      <c r="K25" s="4">
        <v>190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8.5" x14ac:dyDescent="0.45">
      <c r="A26" s="2"/>
      <c r="B26" s="20"/>
      <c r="C26" s="12">
        <f>IF(($C$6-10/9*$C$10)&gt;0,1,0)</f>
        <v>0</v>
      </c>
      <c r="D26" s="11" t="s">
        <v>5</v>
      </c>
      <c r="E26" s="2"/>
      <c r="F26" s="2"/>
      <c r="G26" s="10"/>
      <c r="H26" s="2"/>
      <c r="I26" s="2"/>
      <c r="J26" s="4">
        <f>(100+2*$C$4)</f>
        <v>170</v>
      </c>
      <c r="K26" s="4">
        <f>(190-12*$C$9)</f>
        <v>151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8.5" x14ac:dyDescent="0.45">
      <c r="A27" s="2"/>
      <c r="B27" s="20"/>
      <c r="C27" s="12">
        <f>IF(($C$23+$C$24+$C$25+$C$26)=0,1,0)</f>
        <v>0</v>
      </c>
      <c r="D27" s="11" t="s">
        <v>3</v>
      </c>
      <c r="E27" s="2"/>
      <c r="F27" s="2"/>
      <c r="G27" s="1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9" thickBot="1" x14ac:dyDescent="0.5">
      <c r="A28" s="2"/>
      <c r="B28" s="9" t="s">
        <v>16</v>
      </c>
      <c r="C28" s="8">
        <f>IF(AND($C$3&lt;=12,$C$2&gt;=32,$C$4&gt;=30),1,0)</f>
        <v>1</v>
      </c>
      <c r="D28" s="7" t="s">
        <v>15</v>
      </c>
      <c r="E28" s="6"/>
      <c r="F28" s="6"/>
      <c r="G28" s="5"/>
      <c r="H28" s="2"/>
      <c r="I28" s="2" t="s">
        <v>14</v>
      </c>
      <c r="J28" s="4">
        <v>100</v>
      </c>
      <c r="K28" s="4">
        <f>(190-12*$C$9)</f>
        <v>151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8.5" x14ac:dyDescent="0.45">
      <c r="A29" s="2"/>
      <c r="B29" s="19" t="s">
        <v>13</v>
      </c>
      <c r="C29" s="18">
        <f>IF($C$10&gt;75,1,0)</f>
        <v>1</v>
      </c>
      <c r="D29" s="17" t="s">
        <v>12</v>
      </c>
      <c r="E29" s="16"/>
      <c r="F29" s="16"/>
      <c r="G29" s="15"/>
      <c r="H29" s="2"/>
      <c r="I29" s="2"/>
      <c r="J29" s="4">
        <f>(100+2*$C$4)</f>
        <v>170</v>
      </c>
      <c r="K29" s="4">
        <f>(190-12*$C$9)</f>
        <v>151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.5" x14ac:dyDescent="0.45">
      <c r="A30" s="2"/>
      <c r="B30" s="14" t="s">
        <v>11</v>
      </c>
      <c r="C30" s="12">
        <f>IF(AND($C$23=0,$C$10&gt;45),1,0)</f>
        <v>0</v>
      </c>
      <c r="D30" s="11" t="s">
        <v>10</v>
      </c>
      <c r="E30" s="2"/>
      <c r="F30" s="2"/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8.5" x14ac:dyDescent="0.45">
      <c r="A31" s="2"/>
      <c r="B31" s="14" t="s">
        <v>9</v>
      </c>
      <c r="C31" s="12">
        <f>IF($F$12&gt;4000,1,0)</f>
        <v>1</v>
      </c>
      <c r="D31" s="11" t="s">
        <v>8</v>
      </c>
      <c r="E31" s="2"/>
      <c r="F31" s="2"/>
      <c r="G31" s="10"/>
      <c r="H31" s="2"/>
      <c r="I31" s="2" t="s">
        <v>7</v>
      </c>
      <c r="J31" s="4">
        <f>(100+2*$C$4)</f>
        <v>170</v>
      </c>
      <c r="K31" s="4">
        <f>(190-12*$C$9)</f>
        <v>151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.5" x14ac:dyDescent="0.45">
      <c r="A32" s="2"/>
      <c r="B32" s="13" t="s">
        <v>6</v>
      </c>
      <c r="C32" s="12">
        <f>IF(($C$6-10/9*$C$10)&gt;0,1,0)</f>
        <v>0</v>
      </c>
      <c r="D32" s="11" t="s">
        <v>5</v>
      </c>
      <c r="E32" s="2"/>
      <c r="F32" s="2"/>
      <c r="G32" s="10"/>
      <c r="H32" s="2"/>
      <c r="I32" s="2"/>
      <c r="J32" s="4">
        <f>100+2*$C$4/($C$4*2+12*$C$9)*90</f>
        <v>157.79816513761469</v>
      </c>
      <c r="K32" s="4">
        <f>190-12*$C$9/($C$4*2+12*$C$9)*90</f>
        <v>157.79816513761466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9" thickBot="1" x14ac:dyDescent="0.5">
      <c r="A33" s="2"/>
      <c r="B33" s="9" t="s">
        <v>4</v>
      </c>
      <c r="C33" s="8">
        <f>IF(($C$29+$C$30+$C$31+$C$32)=0,1,0)</f>
        <v>0</v>
      </c>
      <c r="D33" s="7" t="s">
        <v>3</v>
      </c>
      <c r="E33" s="6"/>
      <c r="F33" s="6"/>
      <c r="G33" s="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5">
      <c r="A34" s="2"/>
      <c r="B34" s="2"/>
      <c r="C34" s="2"/>
      <c r="D34" s="2"/>
      <c r="E34" s="2"/>
      <c r="F34" s="2"/>
      <c r="G34" s="3"/>
      <c r="H34" s="2"/>
      <c r="I34" s="2" t="s">
        <v>2</v>
      </c>
      <c r="J34" s="4">
        <f>100+2*$C$4/($C$4*2+12*$C$9)*90</f>
        <v>157.79816513761469</v>
      </c>
      <c r="K34" s="4">
        <f>190-12*$C$9/($C$4*2+12*$C$9)*90</f>
        <v>157.79816513761466</v>
      </c>
      <c r="L34" s="2"/>
      <c r="M34" s="4" t="s">
        <v>1</v>
      </c>
      <c r="N34" s="4">
        <f>((100+2*$C$4/($C$4*2+12*$C$9)*90)-100)*2^(C7/10)+100</f>
        <v>215.59633027522938</v>
      </c>
      <c r="O34" s="4">
        <f>O35</f>
        <v>55</v>
      </c>
      <c r="P34" s="2"/>
      <c r="Q34" s="4"/>
      <c r="R34" s="2"/>
      <c r="S34" s="2"/>
      <c r="T34" s="2"/>
      <c r="U34" s="2"/>
      <c r="V34" s="2"/>
      <c r="W34" s="2"/>
      <c r="X34" s="2"/>
      <c r="Y34" s="2"/>
    </row>
    <row r="35" spans="1:25" x14ac:dyDescent="0.35">
      <c r="A35" s="2"/>
      <c r="B35" s="2"/>
      <c r="C35" s="2"/>
      <c r="D35" s="2"/>
      <c r="E35" s="2"/>
      <c r="F35" s="2"/>
      <c r="G35" s="3"/>
      <c r="H35" s="2"/>
      <c r="I35" s="2"/>
      <c r="J35" s="4">
        <f>100+2*$C$4/($C$4*2+12*$C$9)*90</f>
        <v>157.79816513761469</v>
      </c>
      <c r="K35" s="4">
        <f>10+3*$C$6</f>
        <v>55</v>
      </c>
      <c r="L35" s="2"/>
      <c r="M35" s="2"/>
      <c r="N35" s="4">
        <f>100+2*$C$4/($C$4*2+12*$C$9)*90</f>
        <v>157.79816513761469</v>
      </c>
      <c r="O35" s="4">
        <f>10+3*$C$6</f>
        <v>55</v>
      </c>
      <c r="P35" s="2"/>
      <c r="Q35" s="4"/>
      <c r="R35" s="2"/>
      <c r="S35" s="2"/>
      <c r="T35" s="2"/>
      <c r="U35" s="2"/>
      <c r="V35" s="2"/>
      <c r="W35" s="2"/>
      <c r="X35" s="2"/>
      <c r="Y35" s="2"/>
    </row>
    <row r="36" spans="1:25" x14ac:dyDescent="0.35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5">
      <c r="A37" s="2"/>
      <c r="B37" s="2"/>
      <c r="C37" s="2"/>
      <c r="D37" s="2"/>
      <c r="E37" s="2"/>
      <c r="F37" s="2"/>
      <c r="G37" s="3"/>
      <c r="H37" s="2"/>
      <c r="I37" s="2" t="s">
        <v>0</v>
      </c>
      <c r="J37" s="4">
        <v>100</v>
      </c>
      <c r="K37" s="4">
        <f>10+3*$C$6</f>
        <v>55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5">
      <c r="A38" s="2"/>
      <c r="B38" s="2"/>
      <c r="C38" s="2"/>
      <c r="D38" s="2"/>
      <c r="E38" s="2"/>
      <c r="F38" s="2"/>
      <c r="G38" s="3"/>
      <c r="H38" s="2"/>
      <c r="I38" s="2"/>
      <c r="J38" s="4">
        <f>100+2*$C$4/($C$4*2+12*$C$9)*90</f>
        <v>157.79816513761469</v>
      </c>
      <c r="K38" s="4">
        <f>10+3*$C$6</f>
        <v>55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5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5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5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5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</sheetData>
  <conditionalFormatting sqref="C14">
    <cfRule type="cellIs" dxfId="17" priority="7" operator="equal">
      <formula>1</formula>
    </cfRule>
  </conditionalFormatting>
  <conditionalFormatting sqref="C15">
    <cfRule type="cellIs" dxfId="16" priority="6" operator="equal">
      <formula>1</formula>
    </cfRule>
  </conditionalFormatting>
  <conditionalFormatting sqref="C16:C17">
    <cfRule type="cellIs" dxfId="15" priority="17" operator="equal">
      <formula>1</formula>
    </cfRule>
  </conditionalFormatting>
  <conditionalFormatting sqref="C18:C19">
    <cfRule type="cellIs" dxfId="14" priority="16" operator="equal">
      <formula>1</formula>
    </cfRule>
  </conditionalFormatting>
  <conditionalFormatting sqref="C20">
    <cfRule type="cellIs" dxfId="13" priority="15" operator="equal">
      <formula>1</formula>
    </cfRule>
  </conditionalFormatting>
  <conditionalFormatting sqref="C21">
    <cfRule type="cellIs" dxfId="12" priority="14" operator="equal">
      <formula>1</formula>
    </cfRule>
  </conditionalFormatting>
  <conditionalFormatting sqref="C22">
    <cfRule type="cellIs" dxfId="11" priority="13" operator="equal">
      <formula>1</formula>
    </cfRule>
  </conditionalFormatting>
  <conditionalFormatting sqref="C23">
    <cfRule type="cellIs" dxfId="10" priority="12" operator="equal">
      <formula>1</formula>
    </cfRule>
  </conditionalFormatting>
  <conditionalFormatting sqref="C24">
    <cfRule type="cellIs" dxfId="9" priority="11" operator="equal">
      <formula>1</formula>
    </cfRule>
  </conditionalFormatting>
  <conditionalFormatting sqref="C25">
    <cfRule type="cellIs" dxfId="8" priority="10" operator="equal">
      <formula>1</formula>
    </cfRule>
  </conditionalFormatting>
  <conditionalFormatting sqref="C26">
    <cfRule type="cellIs" dxfId="7" priority="9" operator="equal">
      <formula>1</formula>
    </cfRule>
  </conditionalFormatting>
  <conditionalFormatting sqref="C27">
    <cfRule type="cellIs" dxfId="6" priority="8" operator="equal">
      <formula>1</formula>
    </cfRule>
  </conditionalFormatting>
  <conditionalFormatting sqref="C28">
    <cfRule type="cellIs" dxfId="5" priority="18" operator="equal">
      <formula>1</formula>
    </cfRule>
  </conditionalFormatting>
  <conditionalFormatting sqref="C29">
    <cfRule type="cellIs" dxfId="4" priority="5" operator="equal">
      <formula>1</formula>
    </cfRule>
  </conditionalFormatting>
  <conditionalFormatting sqref="C30">
    <cfRule type="cellIs" dxfId="3" priority="4" operator="equal">
      <formula>1</formula>
    </cfRule>
  </conditionalFormatting>
  <conditionalFormatting sqref="C31">
    <cfRule type="cellIs" dxfId="2" priority="3" operator="equal">
      <formula>1</formula>
    </cfRule>
  </conditionalFormatting>
  <conditionalFormatting sqref="C32">
    <cfRule type="cellIs" dxfId="1" priority="2" operator="equal">
      <formula>1</formula>
    </cfRule>
  </conditionalFormatting>
  <conditionalFormatting sqref="C33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Rainbow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McRae, Rick</dc:creator>
  <cp:lastModifiedBy>McRae, Rick</cp:lastModifiedBy>
  <dcterms:created xsi:type="dcterms:W3CDTF">2026-06-06T05:57:22Z</dcterms:created>
  <dcterms:modified xsi:type="dcterms:W3CDTF">2026-06-06T05:59:53Z</dcterms:modified>
</cp:coreProperties>
</file>